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'Sheet1'!$A$1:$J$56</definedName>
  </definedNames>
  <calcPr fullCalcOnLoad="1"/>
</workbook>
</file>

<file path=xl/comments1.xml><?xml version="1.0" encoding="utf-8"?>
<comments xmlns="http://schemas.openxmlformats.org/spreadsheetml/2006/main">
  <authors>
    <author>Petrolink Operations</author>
  </authors>
  <commentList>
    <comment ref="H30" authorId="0">
      <text>
        <r>
          <rPr>
            <b/>
            <sz val="8"/>
            <rFont val="Tahoma"/>
            <family val="0"/>
          </rPr>
          <t xml:space="preserve">pencil correction from original.
Original was 6.254
</t>
        </r>
      </text>
    </comment>
  </commentList>
</comments>
</file>

<file path=xl/sharedStrings.xml><?xml version="1.0" encoding="utf-8"?>
<sst xmlns="http://schemas.openxmlformats.org/spreadsheetml/2006/main" count="66" uniqueCount="31">
  <si>
    <t>for unit I, II, III</t>
  </si>
  <si>
    <t>Diameter (CM)</t>
  </si>
  <si>
    <t>30-34</t>
  </si>
  <si>
    <t>35-39</t>
  </si>
  <si>
    <t>40-44</t>
  </si>
  <si>
    <t>45-49</t>
  </si>
  <si>
    <t>50-54</t>
  </si>
  <si>
    <t>55-59</t>
  </si>
  <si>
    <t>60-69</t>
  </si>
  <si>
    <t>70-79</t>
  </si>
  <si>
    <t>80 up</t>
  </si>
  <si>
    <t>Length. (M)</t>
  </si>
  <si>
    <t>1,00-1,90</t>
  </si>
  <si>
    <t>2,00-2,40</t>
  </si>
  <si>
    <t>3,00-3,90</t>
  </si>
  <si>
    <t>2,50-2,90</t>
  </si>
  <si>
    <t>4,00-4,90</t>
  </si>
  <si>
    <t>5,00-5,90</t>
  </si>
  <si>
    <t xml:space="preserve"> the best. (U)</t>
  </si>
  <si>
    <t>first. (P)</t>
  </si>
  <si>
    <t>second. (D)</t>
  </si>
  <si>
    <t>third. (T)</t>
  </si>
  <si>
    <t>fourth. (M)</t>
  </si>
  <si>
    <t>fifth. (L)</t>
  </si>
  <si>
    <t xml:space="preserve"> less than  1,00</t>
  </si>
  <si>
    <t>Sortimen A.III (big log.) that comply with a hara request.    hara = soil nutrient.</t>
  </si>
  <si>
    <t>Note</t>
  </si>
  <si>
    <t>: I US$ = Rp</t>
  </si>
  <si>
    <t xml:space="preserve">     Price per m3 in US$</t>
  </si>
  <si>
    <t>Quality /</t>
  </si>
  <si>
    <t>SELLING BASE PRICE LIST FOR TEAK LOG.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</si>
</sst>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workbookViewId="0" topLeftCell="A12">
      <selection activeCell="S47" sqref="S47:S50"/>
    </sheetView>
  </sheetViews>
  <sheetFormatPr defaultColWidth="9.140625" defaultRowHeight="12.75"/>
  <cols>
    <col min="1" max="1" width="18.00390625" style="0" customWidth="1"/>
  </cols>
  <sheetData>
    <row r="2" s="10" customFormat="1" ht="12.75">
      <c r="D2" s="10" t="s">
        <v>30</v>
      </c>
    </row>
    <row r="3" s="10" customFormat="1" ht="12.75">
      <c r="B3" s="10" t="s">
        <v>25</v>
      </c>
    </row>
    <row r="4" s="10" customFormat="1" ht="12.75">
      <c r="E4" s="10" t="s">
        <v>0</v>
      </c>
    </row>
    <row r="6" spans="1:10" ht="12.75">
      <c r="A6" s="1"/>
      <c r="B6" s="11"/>
      <c r="C6" s="12"/>
      <c r="D6" s="12"/>
      <c r="E6" s="18" t="s">
        <v>28</v>
      </c>
      <c r="F6" s="12"/>
      <c r="G6" s="12"/>
      <c r="H6" s="12"/>
      <c r="I6" s="12"/>
      <c r="J6" s="13"/>
    </row>
    <row r="7" spans="1:10" ht="12.75">
      <c r="A7" s="14" t="s">
        <v>29</v>
      </c>
      <c r="B7" s="11"/>
      <c r="C7" s="12"/>
      <c r="D7" s="10"/>
      <c r="E7" s="12" t="s">
        <v>1</v>
      </c>
      <c r="F7" s="12"/>
      <c r="G7" s="12"/>
      <c r="H7" s="12"/>
      <c r="I7" s="12"/>
      <c r="J7" s="13"/>
    </row>
    <row r="8" spans="1:10" ht="12.75">
      <c r="A8" s="15" t="s">
        <v>11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</row>
    <row r="9" spans="1:10" ht="12.75">
      <c r="A9" s="16" t="s">
        <v>18</v>
      </c>
      <c r="B9" s="19"/>
      <c r="C9" s="4"/>
      <c r="D9" s="19"/>
      <c r="E9" s="4"/>
      <c r="F9" s="19"/>
      <c r="G9" s="4"/>
      <c r="H9" s="19"/>
      <c r="I9" s="4"/>
      <c r="J9" s="19"/>
    </row>
    <row r="10" spans="1:10" ht="12.75">
      <c r="A10" s="2" t="s">
        <v>24</v>
      </c>
      <c r="B10" s="20">
        <f>4.032*1000000/E58</f>
        <v>458.1818181818182</v>
      </c>
      <c r="C10" s="5">
        <f>4.435*1000000/E58</f>
        <v>503.97727272727275</v>
      </c>
      <c r="D10" s="20">
        <f>4.838*1000000/E58</f>
        <v>549.7727272727273</v>
      </c>
      <c r="E10" s="6">
        <f>5.241*1000000/E58</f>
        <v>595.5681818181819</v>
      </c>
      <c r="F10" s="21">
        <f>5.644*1000000/E58</f>
        <v>641.3636363636364</v>
      </c>
      <c r="G10" s="6">
        <f>6.047*1000000/E58</f>
        <v>687.1590909090909</v>
      </c>
      <c r="H10" s="21">
        <f>6.652*1000000/E58</f>
        <v>755.9090909090909</v>
      </c>
      <c r="I10" s="6">
        <f>7.257*1000000/E58</f>
        <v>824.6590909090909</v>
      </c>
      <c r="J10" s="20">
        <f>7.862*1000000/E58</f>
        <v>893.4090909090909</v>
      </c>
    </row>
    <row r="11" spans="1:10" ht="12.75">
      <c r="A11" s="2" t="s">
        <v>12</v>
      </c>
      <c r="B11" s="20">
        <f>4.306*1000000/E58</f>
        <v>489.3181818181818</v>
      </c>
      <c r="C11" s="5">
        <f>4.737*1000000/E58</f>
        <v>538.2954545454545</v>
      </c>
      <c r="D11" s="20">
        <f>5.168*1000000/E58</f>
        <v>587.2727272727273</v>
      </c>
      <c r="E11" s="6">
        <f>5.598*1000000/E58</f>
        <v>636.1363636363636</v>
      </c>
      <c r="F11" s="21">
        <f>6.029*1000000/E58</f>
        <v>685.1136363636364</v>
      </c>
      <c r="G11" s="6">
        <f>6.46*1000000/E58</f>
        <v>734.0909090909091</v>
      </c>
      <c r="H11" s="21">
        <f>7.106*1000000/E58</f>
        <v>807.5</v>
      </c>
      <c r="I11" s="6">
        <f>7.752*1000000/E58</f>
        <v>880.9090909090909</v>
      </c>
      <c r="J11" s="20">
        <f>8.398*1000000/E58</f>
        <v>954.3181818181819</v>
      </c>
    </row>
    <row r="12" spans="1:10" ht="12.75">
      <c r="A12" s="2" t="s">
        <v>13</v>
      </c>
      <c r="B12" s="20">
        <f>4.581*1000000/E58</f>
        <v>520.5681818181819</v>
      </c>
      <c r="C12" s="5">
        <f>5.039*1000000/E58</f>
        <v>572.6136363636364</v>
      </c>
      <c r="D12" s="20">
        <f>5.498*1000000/E58</f>
        <v>624.7727272727273</v>
      </c>
      <c r="E12" s="6">
        <f>5.956*1000000/E58</f>
        <v>676.8181818181819</v>
      </c>
      <c r="F12" s="21">
        <f>6.414*1000000/E58</f>
        <v>728.8636363636364</v>
      </c>
      <c r="G12" s="6">
        <f>6.872*1000000/E58</f>
        <v>780.9090909090909</v>
      </c>
      <c r="H12" s="21">
        <f>7.559*1000000/E58</f>
        <v>858.9772727272727</v>
      </c>
      <c r="I12" s="6">
        <f>8.246*1000000/E58</f>
        <v>937.0454545454545</v>
      </c>
      <c r="J12" s="20">
        <f>8.934*1000000/E58</f>
        <v>1015.2272727272727</v>
      </c>
    </row>
    <row r="13" spans="1:10" ht="12.75">
      <c r="A13" s="2" t="s">
        <v>15</v>
      </c>
      <c r="B13" s="21">
        <f>4.855*1000000/E58</f>
        <v>551.7045454545455</v>
      </c>
      <c r="C13" s="6">
        <f>5.342*1000000/E58</f>
        <v>607.0454545454545</v>
      </c>
      <c r="D13" s="21">
        <f>5.827*1000000/E58</f>
        <v>662.1590909090909</v>
      </c>
      <c r="E13" s="6">
        <f>6.313*1000000/E58</f>
        <v>717.3863636363636</v>
      </c>
      <c r="F13" s="21">
        <f>6.799*1000000/E58</f>
        <v>772.6136363636364</v>
      </c>
      <c r="G13" s="6">
        <f>7.284*1000000/E58</f>
        <v>827.7272727272727</v>
      </c>
      <c r="H13" s="21">
        <f>8.013*1000000/E58</f>
        <v>910.5681818181819</v>
      </c>
      <c r="I13" s="6">
        <f>8.741*1000000/E58</f>
        <v>993.2954545454545</v>
      </c>
      <c r="J13" s="21">
        <f>9.47*1000000/E58</f>
        <v>1076.1363636363637</v>
      </c>
    </row>
    <row r="14" spans="1:10" ht="12.75">
      <c r="A14" s="2" t="s">
        <v>14</v>
      </c>
      <c r="B14" s="21">
        <f>5.131*1000000/E58</f>
        <v>583.0681818181819</v>
      </c>
      <c r="C14" s="6">
        <f>5.644*1000000/E58</f>
        <v>641.3636363636364</v>
      </c>
      <c r="D14" s="21">
        <f>6.157*1000000/E58</f>
        <v>699.6590909090909</v>
      </c>
      <c r="E14" s="6">
        <f>6.67*1000000/E58</f>
        <v>757.9545454545455</v>
      </c>
      <c r="F14" s="21">
        <f>7.184*1000000/E58</f>
        <v>816.3636363636364</v>
      </c>
      <c r="G14" s="6">
        <f>7.697*1000000/E58</f>
        <v>874.6590909090909</v>
      </c>
      <c r="H14" s="21">
        <f>8.466*1000000/E58</f>
        <v>962.0454545454545</v>
      </c>
      <c r="I14" s="6">
        <f>9.236*1000000/E58</f>
        <v>1049.5454545454545</v>
      </c>
      <c r="J14" s="20">
        <f>10.006*1000000/E58</f>
        <v>1137.0454545454545</v>
      </c>
    </row>
    <row r="15" spans="1:10" ht="12.75">
      <c r="A15" s="2" t="s">
        <v>16</v>
      </c>
      <c r="B15" s="21">
        <f>5.406*1000000/E58</f>
        <v>614.3181818181819</v>
      </c>
      <c r="C15" s="6">
        <f>5.947*1000000/E58</f>
        <v>675.7954545454545</v>
      </c>
      <c r="D15" s="21">
        <f>6.487*1000000/E58</f>
        <v>737.1590909090909</v>
      </c>
      <c r="E15" s="6">
        <f>7.028*1000000/E58</f>
        <v>798.6363636363636</v>
      </c>
      <c r="F15" s="21">
        <f>7.568*1000000/E58</f>
        <v>860</v>
      </c>
      <c r="G15" s="6">
        <f>8.109*1000000/E58</f>
        <v>921.4772727272727</v>
      </c>
      <c r="H15" s="21">
        <f>8.58*1000000/E58</f>
        <v>975</v>
      </c>
      <c r="I15" s="6">
        <f>9.731*1000000/E58</f>
        <v>1105.7954545454545</v>
      </c>
      <c r="J15" s="20">
        <f>10.542*1000000/E58</f>
        <v>1197.9545454545455</v>
      </c>
    </row>
    <row r="16" spans="1:10" ht="12.75">
      <c r="A16" s="3" t="s">
        <v>17</v>
      </c>
      <c r="B16" s="21">
        <f>5.681*1000000/E58</f>
        <v>645.5681818181819</v>
      </c>
      <c r="C16" s="6">
        <f>6.249*1000000/E58</f>
        <v>710.1136363636364</v>
      </c>
      <c r="D16" s="21">
        <f>6.817*1000000/E58</f>
        <v>774.6590909090909</v>
      </c>
      <c r="E16" s="6">
        <f>7.385*1000000/E58</f>
        <v>839.2045454545455</v>
      </c>
      <c r="F16" s="21">
        <f>7.953*1000000/E58</f>
        <v>903.75</v>
      </c>
      <c r="G16" s="6">
        <f>8.521*1000000/E58</f>
        <v>968.2954545454545</v>
      </c>
      <c r="H16" s="21">
        <f>9.373*1000000/E58</f>
        <v>1065.1136363636363</v>
      </c>
      <c r="I16" s="6">
        <f>10.226*1000000/E58</f>
        <v>1162.0454545454545</v>
      </c>
      <c r="J16" s="20">
        <f>11.078*1000000/E58</f>
        <v>1258.8636363636363</v>
      </c>
    </row>
    <row r="17" spans="1:10" ht="12.75">
      <c r="A17" s="16" t="s">
        <v>19</v>
      </c>
      <c r="B17" s="22"/>
      <c r="C17" s="7"/>
      <c r="D17" s="22"/>
      <c r="E17" s="7"/>
      <c r="F17" s="22"/>
      <c r="G17" s="7"/>
      <c r="H17" s="22"/>
      <c r="I17" s="7"/>
      <c r="J17" s="22"/>
    </row>
    <row r="18" spans="1:10" ht="12.75">
      <c r="A18" s="2" t="s">
        <v>24</v>
      </c>
      <c r="B18" s="21">
        <f>3.615*1000000/E58</f>
        <v>410.79545454545456</v>
      </c>
      <c r="C18" s="6">
        <f>3.976*1000000/E58</f>
        <v>451.8181818181818</v>
      </c>
      <c r="D18" s="21">
        <f>4.337*1000000/E58</f>
        <v>492.84090909090907</v>
      </c>
      <c r="E18" s="6">
        <f>4.699*1000000/E58</f>
        <v>533.9772727272727</v>
      </c>
      <c r="F18" s="21">
        <f>5.06*1000000/E58</f>
        <v>575</v>
      </c>
      <c r="G18" s="6">
        <f>5.422*1000000/E58</f>
        <v>616.1363636363636</v>
      </c>
      <c r="H18" s="21">
        <f>5.964*1000000/E58</f>
        <v>677.7272727272727</v>
      </c>
      <c r="I18" s="6">
        <f>6.506*1000000/E58</f>
        <v>739.3181818181819</v>
      </c>
      <c r="J18" s="20">
        <f>7.048*1000000/E58</f>
        <v>800.9090909090909</v>
      </c>
    </row>
    <row r="19" spans="1:10" ht="12.75">
      <c r="A19" s="2" t="s">
        <v>12</v>
      </c>
      <c r="B19" s="21">
        <f>3.861*1000000/E58</f>
        <v>438.75</v>
      </c>
      <c r="C19" s="6">
        <f>4.247*1000000/E58</f>
        <v>482.6136363636364</v>
      </c>
      <c r="D19" s="21">
        <f>4.633*1000000/E58</f>
        <v>526.4772727272727</v>
      </c>
      <c r="E19" s="6">
        <f>5.019*1000000/E58</f>
        <v>570.3409090909091</v>
      </c>
      <c r="F19" s="21">
        <f>5.405*1000000/E58</f>
        <v>614.2045454545455</v>
      </c>
      <c r="G19" s="6">
        <f>5.791*1000000/E58</f>
        <v>658.0681818181819</v>
      </c>
      <c r="H19" s="21">
        <f>6.371*1000000/E58</f>
        <v>723.9772727272727</v>
      </c>
      <c r="I19" s="6">
        <f>6.95*1000000/E58</f>
        <v>789.7727272727273</v>
      </c>
      <c r="J19" s="20">
        <f>7.529*1000000/E58</f>
        <v>855.5681818181819</v>
      </c>
    </row>
    <row r="20" spans="1:10" ht="12.75">
      <c r="A20" s="2" t="s">
        <v>13</v>
      </c>
      <c r="B20" s="21">
        <f>4.107*1000000/E58</f>
        <v>466.70454545454544</v>
      </c>
      <c r="C20" s="6">
        <f>4.518*1000000/E58</f>
        <v>513.4090909090909</v>
      </c>
      <c r="D20" s="21">
        <f>4.929*1000000/E58</f>
        <v>560.1136363636364</v>
      </c>
      <c r="E20" s="6">
        <f>5.34*1000000/E58</f>
        <v>606.8181818181819</v>
      </c>
      <c r="F20" s="21">
        <f>5.75*1000000/E58</f>
        <v>653.4090909090909</v>
      </c>
      <c r="G20" s="6">
        <f>6.161*1000000/E58</f>
        <v>700.1136363636364</v>
      </c>
      <c r="H20" s="21">
        <f>6.777*1000000/E58</f>
        <v>770.1136363636364</v>
      </c>
      <c r="I20" s="6">
        <f>7.393*1000000/E58</f>
        <v>840.1136363636364</v>
      </c>
      <c r="J20" s="20">
        <f>8.009*1000000/E58</f>
        <v>910.1136363636364</v>
      </c>
    </row>
    <row r="21" spans="1:10" ht="12.75">
      <c r="A21" s="2" t="s">
        <v>15</v>
      </c>
      <c r="B21" s="21">
        <f>4.354*1000000/E58</f>
        <v>494.77272727272725</v>
      </c>
      <c r="C21" s="6">
        <f>4.789*1000000/E58</f>
        <v>544.2045454545455</v>
      </c>
      <c r="D21" s="21">
        <f>5.225*1000000/E58</f>
        <v>593.75</v>
      </c>
      <c r="E21" s="6">
        <f>5.66*1000000/E58</f>
        <v>643.1818181818181</v>
      </c>
      <c r="F21" s="21">
        <f>6.095*1000000/E58</f>
        <v>692.6136363636364</v>
      </c>
      <c r="G21" s="6">
        <f>6.531*1000000/E58</f>
        <v>742.1590909090909</v>
      </c>
      <c r="H21" s="21">
        <f>7.184*1000000/E58</f>
        <v>816.3636363636364</v>
      </c>
      <c r="I21" s="6">
        <f>7.837*1000000/E58</f>
        <v>890.5681818181819</v>
      </c>
      <c r="J21" s="20">
        <f>8.49*1000000/E58</f>
        <v>964.7727272727273</v>
      </c>
    </row>
    <row r="22" spans="1:10" ht="12.75">
      <c r="A22" s="2" t="s">
        <v>14</v>
      </c>
      <c r="B22" s="21">
        <f>4.6*1000000/E58</f>
        <v>522.7272727272727</v>
      </c>
      <c r="C22" s="6">
        <f>5.06*1000000/E58</f>
        <v>575</v>
      </c>
      <c r="D22" s="21">
        <f>5.52*1000000/E58</f>
        <v>627.2727272727273</v>
      </c>
      <c r="E22" s="6">
        <f>5.98*1000000/E58</f>
        <v>679.5454545454545</v>
      </c>
      <c r="F22" s="21">
        <f>6.44*1000000/E58</f>
        <v>731.8181818181819</v>
      </c>
      <c r="G22" s="6">
        <f>6.9*1000000/E58</f>
        <v>784.0909090909091</v>
      </c>
      <c r="H22" s="21">
        <f>7.591*1000000/E58</f>
        <v>862.6136363636364</v>
      </c>
      <c r="I22" s="6">
        <f>8.281*1000000/E58</f>
        <v>941.0227272727274</v>
      </c>
      <c r="J22" s="20">
        <f>8.971*1000000/E58</f>
        <v>1019.4318181818181</v>
      </c>
    </row>
    <row r="23" spans="1:10" ht="12.75">
      <c r="A23" s="2" t="s">
        <v>16</v>
      </c>
      <c r="B23" s="21">
        <f>4.847*1000000/E58</f>
        <v>550.7954545454545</v>
      </c>
      <c r="C23" s="6">
        <f>5.331*1000000/E58</f>
        <v>605.7954545454545</v>
      </c>
      <c r="D23" s="21">
        <f>5.816*1000000/E58</f>
        <v>660.9090909090909</v>
      </c>
      <c r="E23" s="6">
        <f>6.301*1000000/E58</f>
        <v>716.0227272727273</v>
      </c>
      <c r="F23" s="21">
        <f>6.785*1000000/E58</f>
        <v>771.0227272727273</v>
      </c>
      <c r="G23" s="6">
        <f>7.27*1000000/E58</f>
        <v>826.1363636363636</v>
      </c>
      <c r="H23" s="21">
        <f>7.692*1000000/E58</f>
        <v>874.0909090909091</v>
      </c>
      <c r="I23" s="6">
        <f>8.724*1000000/E58</f>
        <v>991.3636363636364</v>
      </c>
      <c r="J23" s="20">
        <f>9.451*1000000/E58</f>
        <v>1073.9772727272727</v>
      </c>
    </row>
    <row r="24" spans="1:10" ht="12.75">
      <c r="A24" s="3" t="s">
        <v>17</v>
      </c>
      <c r="B24" s="23">
        <f>5.093*1000000/E58</f>
        <v>578.75</v>
      </c>
      <c r="C24" s="8">
        <f>5.603*1000000/E58</f>
        <v>636.7045454545455</v>
      </c>
      <c r="D24" s="23">
        <f>6.112*1000000/E58</f>
        <v>694.5454545454545</v>
      </c>
      <c r="E24" s="8">
        <f>6.621*1000000/E58</f>
        <v>752.3863636363636</v>
      </c>
      <c r="F24" s="23">
        <f>7.13*1000000/E58</f>
        <v>810.2272727272727</v>
      </c>
      <c r="G24" s="8">
        <f>7.64*1000000/E58</f>
        <v>868.1818181818181</v>
      </c>
      <c r="H24" s="23">
        <f>8.404*1000000/E58</f>
        <v>955</v>
      </c>
      <c r="I24" s="8">
        <f>9.168*1000000/E58</f>
        <v>1041.8181818181818</v>
      </c>
      <c r="J24" s="23">
        <f>9.932*1000000/E58</f>
        <v>1128.6363636363637</v>
      </c>
    </row>
    <row r="25" spans="1:10" ht="12.75">
      <c r="A25" s="16" t="s">
        <v>20</v>
      </c>
      <c r="B25" s="22"/>
      <c r="C25" s="7"/>
      <c r="D25" s="22"/>
      <c r="E25" s="5"/>
      <c r="F25" s="22"/>
      <c r="G25" s="7"/>
      <c r="H25" s="22"/>
      <c r="I25" s="7"/>
      <c r="J25" s="22"/>
    </row>
    <row r="26" spans="1:10" ht="12.75">
      <c r="A26" s="2" t="s">
        <v>24</v>
      </c>
      <c r="B26" s="21">
        <f>3.197*1000000/E58</f>
        <v>363.29545454545456</v>
      </c>
      <c r="C26" s="6">
        <f>3.517*1000000/E58</f>
        <v>399.65909090909093</v>
      </c>
      <c r="D26" s="21">
        <f>3.837*1000000/E58</f>
        <v>436.02272727272725</v>
      </c>
      <c r="E26" s="5">
        <f>4.157*1000000/E58</f>
        <v>472.3863636363636</v>
      </c>
      <c r="F26" s="21">
        <f>4.476*1000000/E58</f>
        <v>508.6363636363636</v>
      </c>
      <c r="G26" s="6">
        <f>4.796*1000000/E58</f>
        <v>545</v>
      </c>
      <c r="H26" s="21">
        <f>5.34*1000000/E58</f>
        <v>606.8181818181819</v>
      </c>
      <c r="I26" s="6">
        <f>5.755*1000000/E58</f>
        <v>653.9772727272727</v>
      </c>
      <c r="J26" s="20">
        <f>6.235*1000000/E58</f>
        <v>708.5227272727273</v>
      </c>
    </row>
    <row r="27" spans="1:10" ht="12.75">
      <c r="A27" s="2" t="s">
        <v>12</v>
      </c>
      <c r="B27" s="21">
        <f>3.415*1000000/E58</f>
        <v>388.0681818181818</v>
      </c>
      <c r="C27" s="6">
        <f>3.757*1000000/E58</f>
        <v>426.9318181818182</v>
      </c>
      <c r="D27" s="21">
        <f>4.099*1000000/E58</f>
        <v>465.79545454545456</v>
      </c>
      <c r="E27" s="6">
        <f>4.44*1000000/E58</f>
        <v>504.54545454545456</v>
      </c>
      <c r="F27" s="21">
        <f>4.782*1000000/E58</f>
        <v>543.4090909090909</v>
      </c>
      <c r="G27" s="6">
        <f>5.123*1000000/E58</f>
        <v>582.1590909090909</v>
      </c>
      <c r="H27" s="21">
        <f>5.704*1000000/E58</f>
        <v>648.1818181818181</v>
      </c>
      <c r="I27" s="6">
        <f>6.148*1000000/E58</f>
        <v>698.6363636363636</v>
      </c>
      <c r="J27" s="20">
        <f>6.66*1000000/E58</f>
        <v>756.8181818181819</v>
      </c>
    </row>
    <row r="28" spans="1:10" ht="12.75">
      <c r="A28" s="2" t="s">
        <v>13</v>
      </c>
      <c r="B28" s="21">
        <f>3.633*1000000/E58</f>
        <v>412.84090909090907</v>
      </c>
      <c r="C28" s="6">
        <f>3.997*1000000/E58</f>
        <v>454.20454545454544</v>
      </c>
      <c r="D28" s="21">
        <f>4.36*1000000/E58</f>
        <v>495.45454545454544</v>
      </c>
      <c r="E28" s="6">
        <f>4.724*1000000/E58</f>
        <v>536.8181818181819</v>
      </c>
      <c r="F28" s="21">
        <f>5.087*1000000/E58</f>
        <v>578.0681818181819</v>
      </c>
      <c r="G28" s="6">
        <f>5.45*1000000/E58</f>
        <v>619.3181818181819</v>
      </c>
      <c r="H28" s="21">
        <f>6.068*1000000/E58</f>
        <v>689.5454545454545</v>
      </c>
      <c r="I28" s="6">
        <f>6.54*1000000/E58</f>
        <v>743.1818181818181</v>
      </c>
      <c r="J28" s="20">
        <f>7.085*1000000/E58</f>
        <v>805.1136363636364</v>
      </c>
    </row>
    <row r="29" spans="1:10" ht="12.75">
      <c r="A29" s="2" t="s">
        <v>15</v>
      </c>
      <c r="B29" s="21">
        <f>3.851*1000000/E58</f>
        <v>437.6136363636364</v>
      </c>
      <c r="C29" s="6">
        <f>4.237*1000000/E58</f>
        <v>481.47727272727275</v>
      </c>
      <c r="D29" s="21">
        <f>4.622*1000000/E58</f>
        <v>525.2272727272727</v>
      </c>
      <c r="E29" s="6">
        <f>5.007*1000000/E58</f>
        <v>568.9772727272727</v>
      </c>
      <c r="F29" s="21">
        <f>5.392*1000000/E58</f>
        <v>612.7272727272727</v>
      </c>
      <c r="G29" s="6">
        <f>5.777*1000000/E58</f>
        <v>656.4772727272727</v>
      </c>
      <c r="H29" s="21">
        <f>6.444*1000000/E58</f>
        <v>732.2727272727273</v>
      </c>
      <c r="I29" s="6">
        <f>6.933*1000000/E58</f>
        <v>787.8409090909091</v>
      </c>
      <c r="J29" s="20">
        <f>7.51*1000000/E58</f>
        <v>853.4090909090909</v>
      </c>
    </row>
    <row r="30" spans="1:10" ht="12.75">
      <c r="A30" s="2" t="s">
        <v>14</v>
      </c>
      <c r="B30" s="21">
        <f>4.07*1000000/E58</f>
        <v>462.50000000000006</v>
      </c>
      <c r="C30" s="6">
        <f>4.476*1000000/E58</f>
        <v>508.6363636363636</v>
      </c>
      <c r="D30" s="21">
        <f>4.883*1000000/E58</f>
        <v>554.8863636363636</v>
      </c>
      <c r="E30" s="6">
        <f>5.29*1000000/E58</f>
        <v>601.1363636363636</v>
      </c>
      <c r="F30" s="21">
        <f>5.697*1000000/E58</f>
        <v>647.3863636363636</v>
      </c>
      <c r="G30" s="6">
        <f>6.104*1000000/E58</f>
        <v>693.6363636363636</v>
      </c>
      <c r="H30" s="21">
        <f>6.876*1000000/E58</f>
        <v>781.3636363636364</v>
      </c>
      <c r="I30" s="6">
        <f>7.325*1000000/E58</f>
        <v>832.3863636363636</v>
      </c>
      <c r="J30" s="20">
        <f>7.936*1000000/E58</f>
        <v>901.8181818181819</v>
      </c>
    </row>
    <row r="31" spans="1:10" ht="12.75">
      <c r="A31" s="2" t="s">
        <v>16</v>
      </c>
      <c r="B31" s="21">
        <f>4.288*1000000/E58</f>
        <v>487.27272727272725</v>
      </c>
      <c r="C31" s="6">
        <f>4.715*1000000/E58</f>
        <v>535.7954545454545</v>
      </c>
      <c r="D31" s="21">
        <f>5.145*1000000/E58</f>
        <v>584.6590909090909</v>
      </c>
      <c r="E31" s="6">
        <f>5.574*1000000/E58</f>
        <v>633.4090909090909</v>
      </c>
      <c r="F31" s="21">
        <f>6.003*1000000/E58</f>
        <v>682.1590909090909</v>
      </c>
      <c r="G31" s="6">
        <f>6.431*1000000/E58</f>
        <v>730.7954545454545</v>
      </c>
      <c r="H31" s="21">
        <f>7.16*1000000/E58</f>
        <v>813.6363636363636</v>
      </c>
      <c r="I31" s="6">
        <f>7.718*1000000/E58</f>
        <v>877.0454545454545</v>
      </c>
      <c r="J31" s="20">
        <f>8.361*1000000/E58</f>
        <v>950.1136363636365</v>
      </c>
    </row>
    <row r="32" spans="1:10" ht="12.75">
      <c r="A32" s="3" t="s">
        <v>17</v>
      </c>
      <c r="B32" s="23">
        <f>4.506*1000000/E58</f>
        <v>512.0454545454545</v>
      </c>
      <c r="C32" s="8">
        <f>4.956*1000000/E58</f>
        <v>563.1818181818181</v>
      </c>
      <c r="D32" s="23">
        <f>5.407*1000000/E58</f>
        <v>614.4318181818181</v>
      </c>
      <c r="E32" s="8">
        <f>5.857*1000000/E58</f>
        <v>665.5681818181819</v>
      </c>
      <c r="F32" s="23">
        <f>6.308*1000000/E58</f>
        <v>716.8181818181819</v>
      </c>
      <c r="G32" s="8">
        <f>6.758*1000000/E58</f>
        <v>767.9545454545455</v>
      </c>
      <c r="H32" s="23">
        <f>7.524*1000000/E58</f>
        <v>855</v>
      </c>
      <c r="I32" s="8">
        <f>8.11*1000000/E58</f>
        <v>921.590909090909</v>
      </c>
      <c r="J32" s="23">
        <f>8.786*1000000/E58</f>
        <v>998.4090909090909</v>
      </c>
    </row>
    <row r="33" spans="1:10" ht="12.75">
      <c r="A33" s="16" t="s">
        <v>21</v>
      </c>
      <c r="B33" s="22"/>
      <c r="C33" s="7"/>
      <c r="D33" s="22"/>
      <c r="E33" s="7"/>
      <c r="F33" s="22"/>
      <c r="G33" s="7"/>
      <c r="H33" s="22"/>
      <c r="I33" s="7"/>
      <c r="J33" s="22"/>
    </row>
    <row r="34" spans="1:10" ht="12.75">
      <c r="A34" s="2" t="s">
        <v>24</v>
      </c>
      <c r="B34" s="21">
        <f>2.78*1000000/E58</f>
        <v>315.90909090909093</v>
      </c>
      <c r="C34" s="6">
        <f>3.058*1000000/E58</f>
        <v>347.5</v>
      </c>
      <c r="D34" s="21">
        <f>3.336*1000000/E58</f>
        <v>379.09090909090907</v>
      </c>
      <c r="E34" s="6">
        <f>3.67*1000000/E58</f>
        <v>417.04545454545456</v>
      </c>
      <c r="F34" s="21">
        <f>3.948*1000000/E58</f>
        <v>448.6363636363636</v>
      </c>
      <c r="G34" s="6">
        <f>4.254*1000000/E58</f>
        <v>483.40909090909093</v>
      </c>
      <c r="H34" s="21">
        <f>4.671*1000000/E58</f>
        <v>530.7954545454545</v>
      </c>
      <c r="I34" s="6">
        <f>5.262*1000000/E58</f>
        <v>597.9545454545455</v>
      </c>
      <c r="J34" s="20">
        <f>5.477*1000000/E58</f>
        <v>622.3863636363636</v>
      </c>
    </row>
    <row r="35" spans="1:10" ht="12.75">
      <c r="A35" s="2" t="s">
        <v>12</v>
      </c>
      <c r="B35" s="21">
        <f>2.97*1000000/E58</f>
        <v>337.5</v>
      </c>
      <c r="C35" s="6">
        <f>3.267*1000000/E58</f>
        <v>371.25</v>
      </c>
      <c r="D35" s="21">
        <f>3.564*1000000/E58</f>
        <v>405</v>
      </c>
      <c r="E35" s="6">
        <f>3.92*1000000/E58</f>
        <v>445.45454545454544</v>
      </c>
      <c r="F35" s="21">
        <f>4.217*1000000/E58</f>
        <v>479.20454545454544</v>
      </c>
      <c r="G35" s="6">
        <f>4.544*1000000/E58</f>
        <v>516.3636363636364</v>
      </c>
      <c r="H35" s="21">
        <f>5.202*1000000/E58</f>
        <v>591.1363636363636</v>
      </c>
      <c r="I35" s="6">
        <f>4.335*1000000/E58</f>
        <v>492.6136363636364</v>
      </c>
      <c r="J35" s="20">
        <f>5.851*1000000/E58</f>
        <v>664.8863636363636</v>
      </c>
    </row>
    <row r="36" spans="1:10" ht="12.75">
      <c r="A36" s="2" t="s">
        <v>13</v>
      </c>
      <c r="B36" s="21">
        <f>3.16*1000000/E58</f>
        <v>359.09090909090907</v>
      </c>
      <c r="C36" s="6">
        <f>3.476*1000000/E58</f>
        <v>395</v>
      </c>
      <c r="D36" s="21">
        <f>3.791*1000000/E58</f>
        <v>430.79545454545456</v>
      </c>
      <c r="E36" s="6">
        <f>4.171*1000000/E58</f>
        <v>473.9772727272728</v>
      </c>
      <c r="F36" s="21">
        <f>4.487*1000000/E58</f>
        <v>509.8863636363636</v>
      </c>
      <c r="G36" s="6">
        <f>4.834*1000000/E58</f>
        <v>549.3181818181819</v>
      </c>
      <c r="H36" s="21">
        <f>5.308*1000000/E58</f>
        <v>603.1818181818181</v>
      </c>
      <c r="I36" s="6">
        <f>5.782*1000000/E58</f>
        <v>657.0454545454545</v>
      </c>
      <c r="J36" s="20">
        <f>6.224*1000000/E58</f>
        <v>707.2727272727273</v>
      </c>
    </row>
    <row r="37" spans="1:10" ht="12.75">
      <c r="A37" s="2" t="s">
        <v>15</v>
      </c>
      <c r="B37" s="21">
        <f>3.349*1000000/E58</f>
        <v>380.5681818181818</v>
      </c>
      <c r="C37" s="6">
        <f>3.684*1000000/E58</f>
        <v>418.6363636363636</v>
      </c>
      <c r="D37" s="21">
        <f>4.019*1000000/E58</f>
        <v>456.70454545454544</v>
      </c>
      <c r="E37" s="6">
        <f>4.421*1000000/E58</f>
        <v>502.3863636363636</v>
      </c>
      <c r="F37" s="21">
        <f>4.756*1000000/E58</f>
        <v>540.4545454545455</v>
      </c>
      <c r="G37" s="6">
        <f>5.124*1000000/E58</f>
        <v>582.2727272727273</v>
      </c>
      <c r="H37" s="21">
        <f>5.627*1000000/E58</f>
        <v>639.4318181818181</v>
      </c>
      <c r="I37" s="6">
        <f>6.129*1000000/E58</f>
        <v>696.4772727272727</v>
      </c>
      <c r="J37" s="20">
        <f>6.598*1000000/E58</f>
        <v>749.7727272727273</v>
      </c>
    </row>
    <row r="38" spans="1:10" ht="12.75">
      <c r="A38" s="2" t="s">
        <v>14</v>
      </c>
      <c r="B38" s="21">
        <f>3.539*1000000/E58</f>
        <v>402.15909090909093</v>
      </c>
      <c r="C38" s="6">
        <f>3.893*1000000/E58</f>
        <v>442.3863636363636</v>
      </c>
      <c r="D38" s="21">
        <f>4.246*1000000/E58</f>
        <v>482.5</v>
      </c>
      <c r="E38" s="6">
        <f>4.671*1000000/E58</f>
        <v>530.7954545454545</v>
      </c>
      <c r="F38" s="21">
        <f>5.07*1000000/E58</f>
        <v>576.1363636363636</v>
      </c>
      <c r="G38" s="6">
        <f>5.511*1000000/E58</f>
        <v>626.25</v>
      </c>
      <c r="H38" s="21">
        <f>6.104*1000000/E58</f>
        <v>693.6363636363636</v>
      </c>
      <c r="I38" s="6">
        <f>6.476*1000000/E58</f>
        <v>735.9090909090909</v>
      </c>
      <c r="J38" s="20">
        <f>6.971*1000000/E58</f>
        <v>792.1590909090909</v>
      </c>
    </row>
    <row r="39" spans="1:10" ht="12.75">
      <c r="A39" s="2" t="s">
        <v>16</v>
      </c>
      <c r="B39" s="21">
        <f>3.728*1000000/E58</f>
        <v>423.6363636363636</v>
      </c>
      <c r="C39" s="6">
        <f>4.101*1000000/E58</f>
        <v>466.02272727272725</v>
      </c>
      <c r="D39" s="21">
        <f>4.474*1000000/E58</f>
        <v>508.40909090909093</v>
      </c>
      <c r="E39" s="6">
        <f>4.921*1000000/E58</f>
        <v>559.2045454545455</v>
      </c>
      <c r="F39" s="21">
        <f>5.294*1000000/E58</f>
        <v>601.5909090909091</v>
      </c>
      <c r="G39" s="6">
        <f>5.704*1000000/E58</f>
        <v>648.1818181818181</v>
      </c>
      <c r="H39" s="21">
        <f>6.263*1000000/E58</f>
        <v>711.7045454545455</v>
      </c>
      <c r="I39" s="6">
        <f>6.823*1000000/E58</f>
        <v>775.3409090909091</v>
      </c>
      <c r="J39" s="20">
        <f>7.354*1000000/E58</f>
        <v>835.6818181818181</v>
      </c>
    </row>
    <row r="40" spans="1:10" ht="12.75">
      <c r="A40" s="3" t="s">
        <v>17</v>
      </c>
      <c r="B40" s="23">
        <f>3.918*1000000/E58</f>
        <v>445.22727272727275</v>
      </c>
      <c r="C40" s="8">
        <f>4.31*1000000/E58</f>
        <v>489.77272727272725</v>
      </c>
      <c r="D40" s="23">
        <f>4.701*1000000/E58</f>
        <v>534.2045454545455</v>
      </c>
      <c r="E40" s="8">
        <f>5.172*1000000/E58</f>
        <v>587.7272727272727</v>
      </c>
      <c r="F40" s="23">
        <f>5.563*1000000/E58</f>
        <v>632.1590909090909</v>
      </c>
      <c r="G40" s="8">
        <f>5.994*1000000/E58</f>
        <v>681.1363636363636</v>
      </c>
      <c r="H40" s="23">
        <f>6.582*1000000/E58</f>
        <v>747.9545454545455</v>
      </c>
      <c r="I40" s="8">
        <f>7.17*1000000/E58</f>
        <v>814.7727272727273</v>
      </c>
      <c r="J40" s="23">
        <f>7.718*1000000/E58</f>
        <v>877.0454545454545</v>
      </c>
    </row>
    <row r="41" spans="1:10" ht="12.75">
      <c r="A41" s="16" t="s">
        <v>22</v>
      </c>
      <c r="B41" s="22"/>
      <c r="C41" s="7"/>
      <c r="D41" s="22"/>
      <c r="E41" s="7"/>
      <c r="F41" s="22"/>
      <c r="G41" s="7"/>
      <c r="H41" s="22"/>
      <c r="I41" s="7"/>
      <c r="J41" s="22"/>
    </row>
    <row r="42" spans="1:10" ht="12.75">
      <c r="A42" s="2" t="s">
        <v>24</v>
      </c>
      <c r="B42" s="21">
        <f>2.502*1000000/E58</f>
        <v>284.3181818181818</v>
      </c>
      <c r="C42" s="6">
        <f>2.803*1000000/E58</f>
        <v>318.52272727272725</v>
      </c>
      <c r="D42" s="21">
        <f>3.053*1000000/E58</f>
        <v>346.9318181818182</v>
      </c>
      <c r="E42" s="6">
        <f>3.303*1000000/E58</f>
        <v>375.34090909090907</v>
      </c>
      <c r="F42" s="21">
        <f>3.578*1000000/E58</f>
        <v>406.59090909090907</v>
      </c>
      <c r="G42" s="6">
        <f>3.872*1000000/E58</f>
        <v>440</v>
      </c>
      <c r="H42" s="21">
        <f>4.179*1000000/E58</f>
        <v>474.8863636363637</v>
      </c>
      <c r="I42" s="6">
        <f>4.631*1000000/E58</f>
        <v>526.25</v>
      </c>
      <c r="J42" s="20">
        <f>4.93*1000000/E58</f>
        <v>560.2272727272727</v>
      </c>
    </row>
    <row r="43" spans="1:10" ht="12.75">
      <c r="A43" s="2" t="s">
        <v>12</v>
      </c>
      <c r="B43" s="21">
        <f>2.673*1000000/E58</f>
        <v>303.75</v>
      </c>
      <c r="C43" s="6">
        <f>2.994*1000000/E58</f>
        <v>340.22727272727275</v>
      </c>
      <c r="D43" s="21">
        <f>3.261*1000000/E58</f>
        <v>370.5681818181818</v>
      </c>
      <c r="E43" s="6">
        <f>3.528*1000000/E58</f>
        <v>400.90909090909093</v>
      </c>
      <c r="F43" s="21">
        <f>3.843*1000000/E58</f>
        <v>436.70454545454544</v>
      </c>
      <c r="G43" s="6">
        <f>4.111*1000000/E58</f>
        <v>467.1590909090909</v>
      </c>
      <c r="H43" s="21">
        <f>4.535*1000000/E58</f>
        <v>515.3409090909091</v>
      </c>
      <c r="I43" s="6">
        <f>4.918*1000000/E58</f>
        <v>558.8636363636364</v>
      </c>
      <c r="J43" s="20">
        <f>5.266*1000000/E58</f>
        <v>598.4090909090909</v>
      </c>
    </row>
    <row r="44" spans="1:10" ht="12.75">
      <c r="A44" s="2" t="s">
        <v>13</v>
      </c>
      <c r="B44" s="21">
        <f>2.844*1000000/E58</f>
        <v>323.1818181818182</v>
      </c>
      <c r="C44" s="6">
        <f>3.185*1000000/E58</f>
        <v>361.9318181818182</v>
      </c>
      <c r="D44" s="21">
        <f>3.469*1000000/E58</f>
        <v>394.20454545454544</v>
      </c>
      <c r="E44" s="6">
        <f>3.754*1000000/E58</f>
        <v>426.59090909090907</v>
      </c>
      <c r="F44" s="21">
        <f>4.066*1000000/E58</f>
        <v>462.04545454545456</v>
      </c>
      <c r="G44" s="6">
        <f>4.351*1000000/E58</f>
        <v>494.4318181818182</v>
      </c>
      <c r="H44" s="21">
        <f>4.749*1000000/E58</f>
        <v>539.6590909090909</v>
      </c>
      <c r="I44" s="6">
        <f>5.204*1000000/E58</f>
        <v>591.3636363636364</v>
      </c>
      <c r="J44" s="20">
        <f>5.602*1000000/E58</f>
        <v>636.5909090909091</v>
      </c>
    </row>
    <row r="45" spans="1:10" ht="12.75">
      <c r="A45" s="2" t="s">
        <v>15</v>
      </c>
      <c r="B45" s="21">
        <f>3.043*1000000/E58</f>
        <v>345.79545454545456</v>
      </c>
      <c r="C45" s="6">
        <f>3.408*1000000/E58</f>
        <v>387.27272727272725</v>
      </c>
      <c r="D45" s="21">
        <f>3.712*1000000/E58</f>
        <v>421.8181818181818</v>
      </c>
      <c r="E45" s="6">
        <f>4.016*1000000/E58</f>
        <v>456.3636363636364</v>
      </c>
      <c r="F45" s="21">
        <f>4.351*1000000/E58</f>
        <v>494.4318181818182</v>
      </c>
      <c r="G45" s="6">
        <f>4.655*1000000/E58</f>
        <v>528.9772727272727</v>
      </c>
      <c r="H45" s="21">
        <f>5.081*1000000/E58</f>
        <v>577.3863636363636</v>
      </c>
      <c r="I45" s="6">
        <f>5.568*1000000/E58</f>
        <v>632.7272727272727</v>
      </c>
      <c r="J45" s="20">
        <f>5.966*1000000/E58</f>
        <v>677.9545454545455</v>
      </c>
    </row>
    <row r="46" spans="1:10" ht="12.75">
      <c r="A46" s="2" t="s">
        <v>14</v>
      </c>
      <c r="B46" s="21">
        <f>3.242*1000000/E58</f>
        <v>368.40909090909093</v>
      </c>
      <c r="C46" s="6">
        <f>3.631*1000000/E58</f>
        <v>412.6136363636364</v>
      </c>
      <c r="D46" s="21">
        <f>3.955*1000000/E58</f>
        <v>449.4318181818182</v>
      </c>
      <c r="E46" s="6">
        <f>4.279*1000000/E58</f>
        <v>486.25</v>
      </c>
      <c r="F46" s="21">
        <f>4.636*1000000/E58</f>
        <v>526.8181818181819</v>
      </c>
      <c r="G46" s="6">
        <f>4.96*1000000/E58</f>
        <v>563.6363636363636</v>
      </c>
      <c r="H46" s="21">
        <f>5.509*1000000/E58</f>
        <v>626.0227272727273</v>
      </c>
      <c r="I46" s="6">
        <f>5.906*1000000/E58</f>
        <v>671.1363636363636</v>
      </c>
      <c r="J46" s="20">
        <f>6.274*1000000/E58</f>
        <v>712.9545454545455</v>
      </c>
    </row>
    <row r="47" spans="1:10" ht="12.75">
      <c r="A47" s="2" t="s">
        <v>16</v>
      </c>
      <c r="B47" s="21">
        <f>3.355*1000000/E58</f>
        <v>381.25</v>
      </c>
      <c r="C47" s="6">
        <f>3.758*1000000/E58</f>
        <v>427.04545454545456</v>
      </c>
      <c r="D47" s="21">
        <f>4.094*1000000/E58</f>
        <v>465.2272727272728</v>
      </c>
      <c r="E47" s="6">
        <f>4.429*1000000/E58</f>
        <v>503.29545454545456</v>
      </c>
      <c r="F47" s="21">
        <f>4.798*1000000/E58</f>
        <v>545.2272727272727</v>
      </c>
      <c r="G47" s="6">
        <f>5.134*1000000/E58</f>
        <v>583.4090909090909</v>
      </c>
      <c r="H47" s="21">
        <f>5.604*1000000/E58</f>
        <v>636.8181818181819</v>
      </c>
      <c r="I47" s="6">
        <f>6.14*1000000/E58</f>
        <v>697.7272727272727</v>
      </c>
      <c r="J47" s="20">
        <f>6.61*1000000/E58</f>
        <v>751.1363636363636</v>
      </c>
    </row>
    <row r="48" spans="1:10" ht="12.75">
      <c r="A48" s="3" t="s">
        <v>17</v>
      </c>
      <c r="B48" s="23">
        <f>3.526*1000000/E58</f>
        <v>400.6818181818182</v>
      </c>
      <c r="C48" s="8">
        <f>3.949*1000000/E58</f>
        <v>448.75</v>
      </c>
      <c r="D48" s="23">
        <f>4.302*1000000/E58</f>
        <v>488.8636363636364</v>
      </c>
      <c r="E48" s="8">
        <f>4.654*1000000/E58</f>
        <v>528.8636363636364</v>
      </c>
      <c r="F48" s="23">
        <f>5.042*1000000/E58</f>
        <v>572.9545454545455</v>
      </c>
      <c r="G48" s="8">
        <f>5.395*1000000/E58</f>
        <v>613.0681818181819</v>
      </c>
      <c r="H48" s="23">
        <f>5.889*1000000/E58</f>
        <v>669.2045454545455</v>
      </c>
      <c r="I48" s="8">
        <f>6.453*1000000/E58</f>
        <v>733.2954545454545</v>
      </c>
      <c r="J48" s="23">
        <f>6.946*1000000/E58</f>
        <v>789.3181818181819</v>
      </c>
    </row>
    <row r="49" spans="1:10" ht="12.75">
      <c r="A49" s="16" t="s">
        <v>23</v>
      </c>
      <c r="B49" s="22"/>
      <c r="C49" s="7"/>
      <c r="D49" s="22"/>
      <c r="E49" s="7"/>
      <c r="F49" s="22"/>
      <c r="G49" s="7"/>
      <c r="H49" s="22"/>
      <c r="I49" s="7"/>
      <c r="J49" s="22"/>
    </row>
    <row r="50" spans="1:10" ht="12.75">
      <c r="A50" s="2" t="s">
        <v>24</v>
      </c>
      <c r="B50" s="21">
        <f>2.224*1000000/E58</f>
        <v>252.72727272727272</v>
      </c>
      <c r="C50" s="6">
        <f>2.491*1000000/E58</f>
        <v>283.0681818181818</v>
      </c>
      <c r="D50" s="21">
        <f>2.714*1000000/E58</f>
        <v>308.40909090909093</v>
      </c>
      <c r="E50" s="6">
        <f>2.936*1000000/E58</f>
        <v>333.6363636363636</v>
      </c>
      <c r="F50" s="21">
        <f>3.181*1000000/E58</f>
        <v>361.47727272727275</v>
      </c>
      <c r="G50" s="6">
        <f>3.403*1000000/E58</f>
        <v>386.70454545454544</v>
      </c>
      <c r="H50" s="21">
        <f>3.715*1000000/E58</f>
        <v>422.15909090909093</v>
      </c>
      <c r="I50" s="6">
        <f>4.017*1000000/E58</f>
        <v>456.4772727272728</v>
      </c>
      <c r="J50" s="20">
        <f>4.382*1000000/E58</f>
        <v>497.95454545454544</v>
      </c>
    </row>
    <row r="51" spans="1:10" ht="12.75">
      <c r="A51" s="2" t="s">
        <v>12</v>
      </c>
      <c r="B51" s="21">
        <f>2.376*1000000/E58</f>
        <v>270</v>
      </c>
      <c r="C51" s="6">
        <f>2.561*1000000/E58</f>
        <v>291.02272727272725</v>
      </c>
      <c r="D51" s="21">
        <f>2.899*1000000/E58</f>
        <v>329.4318181818182</v>
      </c>
      <c r="E51" s="6">
        <f>3.136*1000000/E58</f>
        <v>356.3636363636364</v>
      </c>
      <c r="F51" s="21">
        <f>3.398*1000000/E58</f>
        <v>386.1363636363636</v>
      </c>
      <c r="G51" s="6">
        <f>3.635*1000000/E58</f>
        <v>413.0681818181818</v>
      </c>
      <c r="H51" s="21">
        <f>3.968*1000000/E58</f>
        <v>450.90909090909093</v>
      </c>
      <c r="I51" s="6">
        <f>4.348*1000000/E58</f>
        <v>494.09090909090907</v>
      </c>
      <c r="J51" s="20">
        <f>4.681*1000000/E58</f>
        <v>531.9318181818181</v>
      </c>
    </row>
    <row r="52" spans="1:10" ht="12.75">
      <c r="A52" s="2" t="s">
        <v>13</v>
      </c>
      <c r="B52" s="21">
        <f>2.528*1000000/E58</f>
        <v>287.27272727272725</v>
      </c>
      <c r="C52" s="6">
        <f>2.831*1000000/E58</f>
        <v>321.70454545454544</v>
      </c>
      <c r="D52" s="21">
        <f>3.084*1000000/E58</f>
        <v>350.45454545454544</v>
      </c>
      <c r="E52" s="6">
        <f>3.336*1000000/E58</f>
        <v>379.09090909090907</v>
      </c>
      <c r="F52" s="21">
        <f>3.615*1000000/E58</f>
        <v>410.79545454545456</v>
      </c>
      <c r="G52" s="6">
        <f>3.867*1000000/E58</f>
        <v>439.4318181818182</v>
      </c>
      <c r="H52" s="21">
        <f>4.221*1000000/E58</f>
        <v>479.65909090909093</v>
      </c>
      <c r="I52" s="6">
        <f>4.626*1000000/E58</f>
        <v>525.6818181818181</v>
      </c>
      <c r="J52" s="20">
        <f>4.979*1000000/E58</f>
        <v>565.7954545454545</v>
      </c>
    </row>
    <row r="53" spans="1:10" ht="12.75">
      <c r="A53" s="2" t="s">
        <v>15</v>
      </c>
      <c r="B53" s="21">
        <f>2.679*1000000/E58</f>
        <v>304.4318181818182</v>
      </c>
      <c r="C53" s="6">
        <f>3.001*1000000/E58</f>
        <v>341.02272727272725</v>
      </c>
      <c r="D53" s="21">
        <f>3.259*1000000/E58</f>
        <v>370.34090909090907</v>
      </c>
      <c r="E53" s="6">
        <f>3.537*1000000/E58</f>
        <v>401.9318181818182</v>
      </c>
      <c r="F53" s="21">
        <f>3.831*1000000/E58</f>
        <v>435.34090909090907</v>
      </c>
      <c r="G53" s="6">
        <f>4.099*1000000/E58</f>
        <v>465.79545454545456</v>
      </c>
      <c r="H53" s="21">
        <f>4.474*1000000/E58</f>
        <v>508.40909090909093</v>
      </c>
      <c r="I53" s="6">
        <f>4.903*1000000/E58</f>
        <v>557.1590909090909</v>
      </c>
      <c r="J53" s="20">
        <f>5.278*1000000/E58</f>
        <v>599.7727272727273</v>
      </c>
    </row>
    <row r="54" spans="1:10" ht="12.75">
      <c r="A54" s="2" t="s">
        <v>14</v>
      </c>
      <c r="B54" s="21">
        <f>2.831*1000000/E58</f>
        <v>321.70454545454544</v>
      </c>
      <c r="C54" s="6">
        <f>3.171*1000000/E58</f>
        <v>360.34090909090907</v>
      </c>
      <c r="D54" s="21">
        <f>3.454*1000000/E58</f>
        <v>392.5</v>
      </c>
      <c r="E54" s="6">
        <f>3.737*1000000/E58</f>
        <v>424.65909090909093</v>
      </c>
      <c r="F54" s="21">
        <f>4.048*1000000/E58</f>
        <v>460</v>
      </c>
      <c r="G54" s="6">
        <f>4.331*1000000/E58</f>
        <v>492.15909090909093</v>
      </c>
      <c r="H54" s="21">
        <f>4.728*1000000/E58</f>
        <v>537.2727272727273</v>
      </c>
      <c r="I54" s="6">
        <f>5.181*1000000/E58</f>
        <v>588.75</v>
      </c>
      <c r="J54" s="20">
        <f>5.577*1000000/E58</f>
        <v>633.75</v>
      </c>
    </row>
    <row r="55" spans="1:10" ht="12.75">
      <c r="A55" s="2" t="s">
        <v>16</v>
      </c>
      <c r="B55" s="21">
        <f>2.983*1000000/E58</f>
        <v>338.97727272727275</v>
      </c>
      <c r="C55" s="6">
        <f>3.341*1000000/E58</f>
        <v>379.65909090909093</v>
      </c>
      <c r="D55" s="21">
        <f>3.639*1000000/E58</f>
        <v>413.52272727272725</v>
      </c>
      <c r="E55" s="6">
        <f>3.937*1000000/E58</f>
        <v>447.3863636363636</v>
      </c>
      <c r="F55" s="21">
        <f>4.265*1000000/E58</f>
        <v>484.65909090909093</v>
      </c>
      <c r="G55" s="6">
        <f>4.563*1000000/E58</f>
        <v>518.5227272727273</v>
      </c>
      <c r="H55" s="21">
        <f>4.981*1000000/E58</f>
        <v>566.0227272727273</v>
      </c>
      <c r="I55" s="6">
        <f>5.458*1000000/E58</f>
        <v>620.2272727272727</v>
      </c>
      <c r="J55" s="20">
        <f>5.876*1000000/E58</f>
        <v>667.7272727272727</v>
      </c>
    </row>
    <row r="56" spans="1:10" ht="12.75">
      <c r="A56" s="3" t="s">
        <v>17</v>
      </c>
      <c r="B56" s="23">
        <f>3.134*1000000/E58</f>
        <v>356.1363636363636</v>
      </c>
      <c r="C56" s="8">
        <f>3.51*1000000/E58</f>
        <v>398.8636363636364</v>
      </c>
      <c r="D56" s="23">
        <f>3.824*1000000/E58</f>
        <v>434.54545454545456</v>
      </c>
      <c r="E56" s="8">
        <f>4.137*1000000/E58</f>
        <v>470.1136363636363</v>
      </c>
      <c r="F56" s="23">
        <f>4.482*1000000/E58</f>
        <v>509.3181818181818</v>
      </c>
      <c r="G56" s="8">
        <f>4.795*1000000/E58</f>
        <v>544.8863636363636</v>
      </c>
      <c r="H56" s="23">
        <f>5.234*1000000/E58</f>
        <v>594.7727272727273</v>
      </c>
      <c r="I56" s="8">
        <f>5.736*1000000/E58</f>
        <v>651.8181818181819</v>
      </c>
      <c r="J56" s="23">
        <f>6.175*1000000/E58</f>
        <v>701.7045454545455</v>
      </c>
    </row>
    <row r="58" spans="2:5" ht="12.75">
      <c r="B58" t="s">
        <v>26</v>
      </c>
      <c r="D58" s="17" t="s">
        <v>27</v>
      </c>
      <c r="E58" s="6">
        <v>8800</v>
      </c>
    </row>
  </sheetData>
  <printOptions/>
  <pageMargins left="0.75" right="0.75" top="1" bottom="1" header="0.5" footer="0.5"/>
  <pageSetup fitToHeight="1" fitToWidth="1" horizontalDpi="300" verticalDpi="3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Petrolink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Petrolink Operations</dc:creator>
  <cp:keywords/>
  <dc:description/>
  <cp:lastModifiedBy>JENY</cp:lastModifiedBy>
  <cp:lastPrinted>2002-11-23T02:43:34Z</cp:lastPrinted>
  <dcterms:created xsi:type="dcterms:W3CDTF">2002-11-23T01:38:15Z</dcterms:created>
  <dcterms:modified xsi:type="dcterms:W3CDTF">2002-11-25T03:41:10Z</dcterms:modified>
  <cp:category/>
  <cp:version/>
  <cp:contentType/>
  <cp:contentStatus/>
</cp:coreProperties>
</file>